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POT CASH" sheetId="1" r:id="rId1"/>
    <sheet name="BANK FIN" sheetId="2" r:id="rId2"/>
  </sheets>
  <externalReferences>
    <externalReference r:id="rId5"/>
  </externalReferences>
  <definedNames>
    <definedName name="ACServiceFee" localSheetId="1">'BANK FIN'!$G$29</definedName>
    <definedName name="ACServiceFee">'SPOT CASH'!$G$29</definedName>
    <definedName name="AllowedDefMonths">'BANK FIN'!$G$6</definedName>
    <definedName name="BookingDiscount" localSheetId="1">'BANK FIN'!$G$17</definedName>
    <definedName name="BookingDiscount">'SPOT CASH'!$G$17</definedName>
    <definedName name="BulkDiscount" localSheetId="1">'BANK FIN'!$G$20</definedName>
    <definedName name="BulkDiscount">'SPOT CASH'!$G$20</definedName>
    <definedName name="CommittedSalesDiscount" localSheetId="1">'BANK FIN'!$G$16</definedName>
    <definedName name="CommittedSalesDiscount">'SPOT CASH'!$G$16</definedName>
    <definedName name="Discount1Desc" localSheetId="1">'BANK FIN'!$B$22</definedName>
    <definedName name="Discount1Desc">'SPOT CASH'!$B$22</definedName>
    <definedName name="Discount1Value" localSheetId="1">'BANK FIN'!$G$22</definedName>
    <definedName name="Discount1Value">'SPOT CASH'!$G$22</definedName>
    <definedName name="Discount2Desc" localSheetId="1">'BANK FIN'!$B$23</definedName>
    <definedName name="Discount2Desc">'SPOT CASH'!$B$23</definedName>
    <definedName name="Discount2Value" localSheetId="1">'BANK FIN'!$G$23</definedName>
    <definedName name="Discount2Value">'SPOT CASH'!$G$23</definedName>
    <definedName name="Downpayment" localSheetId="1">'BANK FIN'!$A$34</definedName>
    <definedName name="Downpayment">'SPOT CASH'!$C$34</definedName>
    <definedName name="DPDate" localSheetId="1">'BANK FIN'!$F$42</definedName>
    <definedName name="DPDate">'SPOT CASH'!$E$33</definedName>
    <definedName name="EmployeeDiscount" localSheetId="1">'BANK FIN'!$G$19</definedName>
    <definedName name="EmployeeDiscount">'SPOT CASH'!$G$19</definedName>
    <definedName name="Floor" localSheetId="1">'BANK FIN'!$C$8</definedName>
    <definedName name="Floor">'SPOT CASH'!$C$8</definedName>
    <definedName name="FloorArea" localSheetId="1">'BANK FIN'!$D$8</definedName>
    <definedName name="FloorArea">'SPOT CASH'!$D$8</definedName>
    <definedName name="LumpOCDate" localSheetId="1">'BANK FIN'!$B$25</definedName>
    <definedName name="LumpOCDate">'SPOT CASH'!$B$25</definedName>
    <definedName name="Mode" localSheetId="1">'BANK FIN'!$D$5</definedName>
    <definedName name="Mode">'SPOT CASH'!$D$5</definedName>
    <definedName name="Model" localSheetId="1">'BANK FIN'!$F$8</definedName>
    <definedName name="Model">'SPOT CASH'!$F$8</definedName>
    <definedName name="NoDPSchedule" localSheetId="1">'BANK FIN'!$A$48</definedName>
    <definedName name="NoDPSchedule">'SPOT CASH'!$B$34</definedName>
    <definedName name="Note1" localSheetId="1">'BANK FIN'!$A$62</definedName>
    <definedName name="Note1">'SPOT CASH'!$A$36</definedName>
    <definedName name="OtherBSDiscount" localSheetId="1">'BANK FIN'!$G$18</definedName>
    <definedName name="OtherBSDiscount">'SPOT CASH'!$G$18</definedName>
    <definedName name="OtherChargesPercentage" localSheetId="1">'BANK FIN'!$A$27</definedName>
    <definedName name="OtherChargesPercentage">'SPOT CASH'!$A$27</definedName>
    <definedName name="OtherDiscount" localSheetId="1">'BANK FIN'!$G$21</definedName>
    <definedName name="OtherDiscount">'SPOT CASH'!$G$21</definedName>
    <definedName name="OtherRSDiscount" localSheetId="1">'BANK FIN'!$G$15</definedName>
    <definedName name="OtherRSDiscount">'SPOT CASH'!$G$15</definedName>
    <definedName name="Payee" localSheetId="1">'BANK FIN'!$A$71</definedName>
    <definedName name="Payee">'SPOT CASH'!$A$45</definedName>
    <definedName name="PercentageDiscount" localSheetId="1">'BANK FIN'!$A$13</definedName>
    <definedName name="PercentageDiscount">'SPOT CASH'!$A$13</definedName>
    <definedName name="_xlnm.Print_Area" localSheetId="1">'BANK FIN'!$A$1:$G$71</definedName>
    <definedName name="ProjectDateCompletion">'SPOT CASH'!$G$6</definedName>
    <definedName name="ProjectName" localSheetId="1">'BANK FIN'!$A$4</definedName>
    <definedName name="ProjectName">'SPOT CASH'!$A$4</definedName>
    <definedName name="ReservationDate" localSheetId="1">'BANK FIN'!$F$37</definedName>
    <definedName name="ReservationDate">'SPOT CASH'!$E$32</definedName>
    <definedName name="ReservationDiscount" localSheetId="1">'BANK FIN'!$G$14</definedName>
    <definedName name="ReservationDiscount">'SPOT CASH'!$G$14</definedName>
    <definedName name="ReservationFee" localSheetId="1">'BANK FIN'!$G$37</definedName>
    <definedName name="ReservationFee">'SPOT CASH'!$G$32</definedName>
    <definedName name="SellingPrice" localSheetId="1">'BANK FIN'!$G$11</definedName>
    <definedName name="SellingPrice">'SPOT CASH'!$G$11</definedName>
    <definedName name="ServiceFee" localSheetId="1">'BANK FIN'!$G$28</definedName>
    <definedName name="ServiceFee">'SPOT CASH'!$G$28</definedName>
    <definedName name="SpotDownpayment" localSheetId="1">'BANK FIN'!$A$40</definedName>
    <definedName name="SpotDownpayment">'SPOT CASH'!$A$34</definedName>
    <definedName name="StandardDiscount" localSheetId="1">'BANK FIN'!$G$13</definedName>
    <definedName name="StandardDiscount">'SPOT CASH'!$G$13</definedName>
    <definedName name="TotalOtherCharges" localSheetId="1">'BANK FIN'!$G$27</definedName>
    <definedName name="TotalOtherCharges">'SPOT CASH'!$G$27</definedName>
    <definedName name="Tower" localSheetId="1">'BANK FIN'!$A$8</definedName>
    <definedName name="Tower">'SPOT CASH'!$A$8</definedName>
    <definedName name="Unit" localSheetId="1">'BANK FIN'!$B$8</definedName>
    <definedName name="Unit">'SPOT CASH'!$B$8</definedName>
  </definedNames>
  <calcPr fullCalcOnLoad="1"/>
</workbook>
</file>

<file path=xl/sharedStrings.xml><?xml version="1.0" encoding="utf-8"?>
<sst xmlns="http://schemas.openxmlformats.org/spreadsheetml/2006/main" count="130" uniqueCount="70">
  <si>
    <t>SPOT CASH</t>
  </si>
  <si>
    <t>AVIDA LAND CORP.</t>
  </si>
  <si>
    <t>CUSTOMER SERVICE UNIT</t>
  </si>
  <si>
    <t>AVIDA TOWERS INTIMA</t>
  </si>
  <si>
    <t>SAMPLE COMPUTATION ONLY</t>
  </si>
  <si>
    <t>Tower</t>
  </si>
  <si>
    <t>Unit</t>
  </si>
  <si>
    <t>Floor</t>
  </si>
  <si>
    <t>Floor Area</t>
  </si>
  <si>
    <t>Model</t>
  </si>
  <si>
    <t>1</t>
  </si>
  <si>
    <t>2820</t>
  </si>
  <si>
    <t>28</t>
  </si>
  <si>
    <t>23.43</t>
  </si>
  <si>
    <t>STUDIO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</si>
  <si>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</si>
  <si>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</si>
  <si>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</si>
  <si>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</si>
  <si>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</si>
  <si>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</si>
  <si>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</si>
  <si>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</si>
  <si>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</si>
  <si>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</si>
  <si>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</si>
  <si>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</si>
  <si>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</si>
  <si>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Local Buyer Discount</t>
  </si>
  <si>
    <t>NET SELLING PRICE</t>
  </si>
  <si>
    <t>Add:</t>
  </si>
  <si>
    <t>Other Charges</t>
  </si>
  <si>
    <t>Service Fee</t>
  </si>
  <si>
    <t>AC Service Fee</t>
  </si>
  <si>
    <t>TOTAL RECEIVABLE</t>
  </si>
  <si>
    <t>Reservation Fee</t>
  </si>
  <si>
    <t>BALANCE DUE AND PAYABLE:</t>
  </si>
  <si>
    <t>NOTE:</t>
  </si>
  <si>
    <t>1.   In the event of an increase in Other Charges, the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</si>
  <si>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</si>
  <si>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</si>
  <si>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</si>
  <si>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</si>
  <si>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</si>
  <si>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</si>
  <si>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</si>
  <si>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</si>
  <si>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</si>
  <si>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LOCAL DISCOUNT IS APPLICABLE ONLY TO FILIPINO CLIENTS</t>
  </si>
  <si>
    <t>SELLING PRICE AFTER DISCOUNTS</t>
  </si>
  <si>
    <t>DOWNPAYMENT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</si>
  <si>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</si>
  <si>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</si>
  <si>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</si>
  <si>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</si>
  <si>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</si>
  <si>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</si>
  <si>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</si>
  <si>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</si>
  <si>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</si>
  <si>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</si>
  <si>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</si>
  <si>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</si>
  <si>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</si>
  <si>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</si>
  <si>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</si>
  <si>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</si>
  <si>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</si>
  <si>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</si>
  <si>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1.   In the event of an increase in Other Charges, AVIDA LAND CORP. has the right to charge the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</si>
</sst>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[$-3409]dd\-mmm\-yy;@"/>
    <numFmt numFmtId="166" formatCode="_(* #,##0.000000000_);_(* \(#,##0.000000000\);_(* &quot;-&quot;??_);_(@_)"/>
    <numFmt numFmtId="167" formatCode="_(\P\ #,##0.00_);_(\P\ \(#,##0.00\);_(\P\ &quot;-&quot;??_);_(@_)"/>
    <numFmt numFmtId="168" formatCode="_(\P* #,##0_);_(\P* \(#,##0\);_(\P* &quot;-&quot;_);_(@_)"/>
    <numFmt numFmtId="169" formatCode="[$-409]dd\-mmm\-yy;@"/>
    <numFmt numFmtId="170" formatCode="_(\P* #,##0.00_);_(\P* \(#,##0.00\);_(\P* &quot;-&quot;??_);_(@_)"/>
  </numFmts>
  <fonts count="46">
    <font>
      <sz val="10"/>
      <color indexed="8"/>
      <name val="Courier New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20"/>
      <color indexed="8"/>
      <name val="Verdana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sz val="10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43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3" fontId="1" fillId="0" borderId="0" xfId="0" applyNumberFormat="1" applyFont="1" applyFill="1" applyBorder="1" applyAlignment="1" applyProtection="1">
      <alignment horizontal="right"/>
      <protection/>
    </xf>
    <xf numFmtId="43" fontId="1" fillId="0" borderId="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/>
      <protection/>
    </xf>
    <xf numFmtId="43" fontId="5" fillId="33" borderId="17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 hidden="1"/>
    </xf>
    <xf numFmtId="165" fontId="1" fillId="33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5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25" fillId="34" borderId="0" xfId="56" applyNumberFormat="1" applyFont="1" applyFill="1" applyBorder="1" applyAlignment="1" applyProtection="1">
      <alignment/>
      <protection/>
    </xf>
    <xf numFmtId="0" fontId="5" fillId="34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/>
      <protection/>
    </xf>
    <xf numFmtId="0" fontId="0" fillId="0" borderId="0" xfId="56">
      <alignment/>
      <protection/>
    </xf>
    <xf numFmtId="0" fontId="1" fillId="0" borderId="10" xfId="56" applyNumberFormat="1" applyFont="1" applyFill="1" applyBorder="1" applyAlignment="1" applyProtection="1">
      <alignment/>
      <protection/>
    </xf>
    <xf numFmtId="0" fontId="2" fillId="0" borderId="17" xfId="56" applyNumberFormat="1" applyFont="1" applyFill="1" applyBorder="1" applyAlignment="1" applyProtection="1">
      <alignment horizontal="center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1" fillId="0" borderId="13" xfId="56" applyNumberFormat="1" applyFont="1" applyFill="1" applyBorder="1" applyAlignment="1" applyProtection="1">
      <alignment/>
      <protection/>
    </xf>
    <xf numFmtId="0" fontId="4" fillId="0" borderId="12" xfId="56" applyNumberFormat="1" applyFont="1" applyFill="1" applyBorder="1" applyAlignment="1" applyProtection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/>
      <protection/>
    </xf>
    <xf numFmtId="164" fontId="1" fillId="0" borderId="14" xfId="56" applyNumberFormat="1" applyFont="1" applyFill="1" applyBorder="1" applyAlignment="1" applyProtection="1">
      <alignment/>
      <protection/>
    </xf>
    <xf numFmtId="0" fontId="1" fillId="0" borderId="15" xfId="56" applyNumberFormat="1" applyFont="1" applyFill="1" applyBorder="1" applyAlignment="1" applyProtection="1">
      <alignment/>
      <protection/>
    </xf>
    <xf numFmtId="0" fontId="3" fillId="0" borderId="15" xfId="56" applyNumberFormat="1" applyFont="1" applyFill="1" applyBorder="1" applyAlignment="1" applyProtection="1">
      <alignment horizontal="center"/>
      <protection/>
    </xf>
    <xf numFmtId="0" fontId="1" fillId="0" borderId="16" xfId="56" applyNumberFormat="1" applyFont="1" applyFill="1" applyBorder="1" applyAlignment="1" applyProtection="1">
      <alignment/>
      <protection/>
    </xf>
    <xf numFmtId="2" fontId="26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0" fontId="5" fillId="33" borderId="0" xfId="56" applyNumberFormat="1" applyFont="1" applyFill="1" applyBorder="1" applyAlignment="1" applyProtection="1">
      <alignment/>
      <protection/>
    </xf>
    <xf numFmtId="0" fontId="1" fillId="33" borderId="0" xfId="56" applyNumberFormat="1" applyFont="1" applyFill="1" applyBorder="1" applyAlignment="1" applyProtection="1">
      <alignment horizontal="left"/>
      <protection/>
    </xf>
    <xf numFmtId="0" fontId="1" fillId="33" borderId="0" xfId="56" applyNumberFormat="1" applyFont="1" applyFill="1" applyBorder="1" applyAlignment="1" applyProtection="1">
      <alignment/>
      <protection/>
    </xf>
    <xf numFmtId="0" fontId="5" fillId="33" borderId="0" xfId="56" applyNumberFormat="1" applyFont="1" applyFill="1" applyBorder="1" applyAlignment="1" applyProtection="1">
      <alignment horizontal="right"/>
      <protection/>
    </xf>
    <xf numFmtId="43" fontId="5" fillId="33" borderId="0" xfId="56" applyNumberFormat="1" applyFont="1" applyFill="1" applyBorder="1" applyAlignment="1" applyProtection="1">
      <alignment horizontal="right"/>
      <protection/>
    </xf>
    <xf numFmtId="0" fontId="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NumberFormat="1" applyFont="1" applyFill="1" applyBorder="1" applyAlignment="1" applyProtection="1">
      <alignment horizontal="right"/>
      <protection/>
    </xf>
    <xf numFmtId="43" fontId="1" fillId="0" borderId="0" xfId="56" applyNumberFormat="1" applyFont="1" applyFill="1" applyBorder="1" applyAlignment="1" applyProtection="1">
      <alignment horizontal="right"/>
      <protection/>
    </xf>
    <xf numFmtId="164" fontId="1" fillId="0" borderId="0" xfId="56" applyNumberFormat="1" applyFont="1" applyFill="1" applyBorder="1" applyAlignment="1" applyProtection="1">
      <alignment/>
      <protection/>
    </xf>
    <xf numFmtId="43" fontId="1" fillId="0" borderId="0" xfId="56" applyNumberFormat="1" applyFont="1" applyFill="1" applyBorder="1" applyAlignment="1" applyProtection="1">
      <alignment/>
      <protection/>
    </xf>
    <xf numFmtId="43" fontId="5" fillId="0" borderId="0" xfId="56" applyNumberFormat="1" applyFont="1" applyFill="1" applyBorder="1" applyAlignment="1" applyProtection="1">
      <alignment/>
      <protection/>
    </xf>
    <xf numFmtId="164" fontId="1" fillId="33" borderId="0" xfId="56" applyNumberFormat="1" applyFont="1" applyFill="1" applyBorder="1" applyAlignment="1" applyProtection="1">
      <alignment/>
      <protection/>
    </xf>
    <xf numFmtId="43" fontId="5" fillId="33" borderId="17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/>
      <protection/>
    </xf>
    <xf numFmtId="164" fontId="5" fillId="0" borderId="0" xfId="56" applyNumberFormat="1" applyFont="1" applyFill="1" applyBorder="1" applyAlignment="1" applyProtection="1">
      <alignment/>
      <protection/>
    </xf>
    <xf numFmtId="165" fontId="1" fillId="0" borderId="0" xfId="56" applyNumberFormat="1" applyFont="1" applyFill="1" applyBorder="1" applyAlignment="1" applyProtection="1">
      <alignment horizontal="center"/>
      <protection/>
    </xf>
    <xf numFmtId="165" fontId="1" fillId="33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right"/>
      <protection/>
    </xf>
    <xf numFmtId="166" fontId="1" fillId="0" borderId="0" xfId="56" applyNumberFormat="1" applyFont="1" applyFill="1" applyBorder="1" applyAlignment="1" applyProtection="1">
      <alignment/>
      <protection/>
    </xf>
    <xf numFmtId="0" fontId="6" fillId="0" borderId="0" xfId="56" applyNumberFormat="1" applyFont="1" applyFill="1" applyBorder="1" applyAlignment="1" applyProtection="1">
      <alignment/>
      <protection/>
    </xf>
    <xf numFmtId="167" fontId="5" fillId="0" borderId="17" xfId="56" applyNumberFormat="1" applyFont="1" applyFill="1" applyBorder="1" applyAlignment="1" applyProtection="1">
      <alignment/>
      <protection/>
    </xf>
    <xf numFmtId="0" fontId="27" fillId="0" borderId="0" xfId="56" applyNumberFormat="1" applyFont="1" applyFill="1" applyBorder="1" applyAlignment="1" applyProtection="1">
      <alignment/>
      <protection/>
    </xf>
    <xf numFmtId="168" fontId="5" fillId="0" borderId="0" xfId="56" applyNumberFormat="1" applyFont="1" applyFill="1" applyBorder="1" applyAlignment="1" applyProtection="1">
      <alignment/>
      <protection/>
    </xf>
    <xf numFmtId="0" fontId="28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 wrapText="1"/>
      <protection/>
    </xf>
    <xf numFmtId="165" fontId="6" fillId="0" borderId="0" xfId="56" applyNumberFormat="1" applyFont="1" applyFill="1" applyBorder="1" applyAlignment="1" applyProtection="1">
      <alignment horizontal="center" vertical="center" wrapText="1"/>
      <protection/>
    </xf>
    <xf numFmtId="168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NumberFormat="1" applyFont="1" applyFill="1" applyBorder="1" applyAlignment="1" applyProtection="1">
      <alignment horizontal="right" indent="2"/>
      <protection/>
    </xf>
    <xf numFmtId="165" fontId="1" fillId="0" borderId="0" xfId="56" applyNumberFormat="1" applyFont="1" applyFill="1" applyBorder="1" applyAlignment="1" applyProtection="1">
      <alignment horizontal="center" vertical="center"/>
      <protection/>
    </xf>
    <xf numFmtId="43" fontId="1" fillId="0" borderId="0" xfId="56" applyNumberFormat="1" applyFont="1" applyFill="1" applyBorder="1" applyAlignment="1" applyProtection="1">
      <alignment horizontal="center"/>
      <protection/>
    </xf>
    <xf numFmtId="169" fontId="1" fillId="0" borderId="0" xfId="56" applyNumberFormat="1" applyFont="1" applyFill="1" applyBorder="1" applyAlignment="1" applyProtection="1">
      <alignment horizontal="center"/>
      <protection/>
    </xf>
    <xf numFmtId="170" fontId="5" fillId="0" borderId="0" xfId="56" applyNumberFormat="1" applyFont="1" applyFill="1" applyBorder="1" applyAlignment="1" applyProtection="1">
      <alignment horizontal="right"/>
      <protection/>
    </xf>
    <xf numFmtId="0" fontId="7" fillId="0" borderId="0" xfId="56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left"/>
      <protection/>
    </xf>
    <xf numFmtId="0" fontId="7" fillId="0" borderId="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ezl\Downloads\10%SFDP%20&amp;%2010%%20-%2024MONS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F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45"/>
  <sheetViews>
    <sheetView zoomScalePageLayoutView="0" workbookViewId="0" topLeftCell="A4">
      <selection activeCell="I38" sqref="I38"/>
    </sheetView>
  </sheetViews>
  <sheetFormatPr defaultColWidth="12.375" defaultRowHeight="12.75" customHeight="1"/>
  <cols>
    <col min="1" max="6" width="12.375" style="1" customWidth="1"/>
    <col min="7" max="7" width="20.37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5" ht="18" customHeight="1" thickBot="1">
      <c r="A1" s="40" t="s">
        <v>48</v>
      </c>
      <c r="B1" s="41"/>
      <c r="C1" s="41"/>
      <c r="D1" s="41"/>
      <c r="E1" s="41"/>
    </row>
    <row r="2" spans="1:7" ht="14.25" customHeight="1" thickTop="1">
      <c r="A2" s="2" t="s">
        <v>0</v>
      </c>
      <c r="B2" s="33" t="s">
        <v>1</v>
      </c>
      <c r="C2" s="33"/>
      <c r="D2" s="33"/>
      <c r="E2" s="33"/>
      <c r="F2" s="33"/>
      <c r="G2" s="3"/>
    </row>
    <row r="3" spans="1:7" ht="14.25" customHeight="1">
      <c r="A3" s="4"/>
      <c r="B3" s="35" t="s">
        <v>2</v>
      </c>
      <c r="C3" s="35"/>
      <c r="D3" s="35"/>
      <c r="E3" s="35"/>
      <c r="F3" s="35"/>
      <c r="G3" s="5"/>
    </row>
    <row r="4" spans="1:7" ht="30" customHeight="1">
      <c r="A4" s="36" t="s">
        <v>3</v>
      </c>
      <c r="B4" s="37"/>
      <c r="C4" s="37"/>
      <c r="D4" s="37"/>
      <c r="E4" s="37"/>
      <c r="F4" s="37"/>
      <c r="G4" s="38"/>
    </row>
    <row r="5" spans="1:7" ht="13.5" customHeight="1">
      <c r="A5" s="6"/>
      <c r="B5" s="7"/>
      <c r="C5" s="7"/>
      <c r="D5" s="8" t="s">
        <v>4</v>
      </c>
      <c r="E5" s="7"/>
      <c r="F5" s="7"/>
      <c r="G5" s="9"/>
    </row>
    <row r="6" s="1" customFormat="1" ht="13.5" customHeight="1">
      <c r="G6" s="10"/>
    </row>
    <row r="7" spans="1:7" ht="13.5">
      <c r="A7" s="11" t="s">
        <v>5</v>
      </c>
      <c r="B7" s="11" t="s">
        <v>6</v>
      </c>
      <c r="C7" s="11" t="s">
        <v>7</v>
      </c>
      <c r="D7" s="11" t="s">
        <v>8</v>
      </c>
      <c r="E7" s="11"/>
      <c r="F7" s="39" t="s">
        <v>9</v>
      </c>
      <c r="G7" s="39"/>
    </row>
    <row r="8" spans="1:7" ht="13.5">
      <c r="A8" s="12" t="s">
        <v>10</v>
      </c>
      <c r="B8" s="12" t="s">
        <v>11</v>
      </c>
      <c r="C8" s="12" t="s">
        <v>12</v>
      </c>
      <c r="D8" s="12" t="s">
        <v>13</v>
      </c>
      <c r="E8" s="12"/>
      <c r="F8" s="34" t="s">
        <v>14</v>
      </c>
      <c r="G8" s="34"/>
    </row>
    <row r="11" spans="1:7" ht="13.5" customHeight="1">
      <c r="A11" s="13" t="s">
        <v>15</v>
      </c>
      <c r="B11" s="13"/>
      <c r="C11" s="14"/>
      <c r="D11" s="15"/>
      <c r="E11" s="15"/>
      <c r="F11" s="16" t="s">
        <v>16</v>
      </c>
      <c r="G11" s="17">
        <v>3857280</v>
      </c>
    </row>
    <row r="12" spans="1:7" ht="13.5" customHeight="1">
      <c r="A12" s="1" t="s">
        <v>17</v>
      </c>
      <c r="B12" s="1" t="s">
        <v>18</v>
      </c>
      <c r="C12" s="18"/>
      <c r="F12" s="19"/>
      <c r="G12" s="20">
        <f>ROUND(IF(ISERROR(FIND("PARKING",Model,1)),IF(SellingPrice&gt;3199200,(G11-(G11/1.12)),0),(G11-(G11/1.12))),2)</f>
        <v>413280</v>
      </c>
    </row>
    <row r="13" spans="1:10" ht="13.5" customHeight="1">
      <c r="A13" s="10">
        <v>5</v>
      </c>
      <c r="B13" s="1" t="str">
        <f>CONCATENATE(A13,"% Spot Cash Discount")</f>
        <v>5% Spot Cash Discount</v>
      </c>
      <c r="F13" s="19"/>
      <c r="G13" s="21">
        <f>((G11-G12)-Discount2Value)*(PercentageDiscount/100)</f>
        <v>154980</v>
      </c>
      <c r="I13" s="21"/>
      <c r="J13" s="21"/>
    </row>
    <row r="14" spans="2:10" ht="13.5" customHeight="1" hidden="1">
      <c r="B14" s="1" t="s">
        <v>19</v>
      </c>
      <c r="G14" s="21">
        <v>0</v>
      </c>
      <c r="I14" s="21"/>
      <c r="J14" s="21"/>
    </row>
    <row r="15" spans="2:10" ht="13.5" customHeight="1" hidden="1">
      <c r="B15" s="1" t="s">
        <v>20</v>
      </c>
      <c r="G15" s="21">
        <v>0</v>
      </c>
      <c r="I15" s="21"/>
      <c r="J15" s="21"/>
    </row>
    <row r="16" spans="2:9" ht="13.5" customHeight="1" hidden="1">
      <c r="B16" s="1" t="s">
        <v>21</v>
      </c>
      <c r="G16" s="21">
        <v>0</v>
      </c>
      <c r="I16" s="21"/>
    </row>
    <row r="17" spans="2:9" ht="13.5" customHeight="1" hidden="1">
      <c r="B17" s="1" t="s">
        <v>22</v>
      </c>
      <c r="G17" s="21">
        <v>0</v>
      </c>
      <c r="I17" s="21"/>
    </row>
    <row r="18" spans="2:9" ht="13.5" customHeight="1" hidden="1">
      <c r="B18" s="1" t="s">
        <v>23</v>
      </c>
      <c r="G18" s="21">
        <v>0</v>
      </c>
      <c r="I18" s="21"/>
    </row>
    <row r="19" spans="2:10" ht="13.5" customHeight="1" hidden="1">
      <c r="B19" s="1" t="s">
        <v>24</v>
      </c>
      <c r="G19" s="21">
        <v>0</v>
      </c>
      <c r="H19" s="21"/>
      <c r="I19" s="21"/>
      <c r="J19" s="21"/>
    </row>
    <row r="20" spans="2:10" ht="13.5" customHeight="1" hidden="1">
      <c r="B20" s="1" t="s">
        <v>25</v>
      </c>
      <c r="G20" s="21">
        <v>0</v>
      </c>
      <c r="J20" s="21"/>
    </row>
    <row r="21" spans="2:10" ht="13.5" customHeight="1" hidden="1">
      <c r="B21" s="1" t="s">
        <v>26</v>
      </c>
      <c r="G21" s="21">
        <v>0</v>
      </c>
      <c r="J21" s="21"/>
    </row>
    <row r="22" spans="2:10" ht="13.5" customHeight="1" hidden="1">
      <c r="B22" s="1" t="s">
        <v>27</v>
      </c>
      <c r="G22" s="21">
        <v>0</v>
      </c>
      <c r="J22" s="21"/>
    </row>
    <row r="23" spans="2:10" ht="13.5" customHeight="1">
      <c r="B23" s="1" t="s">
        <v>28</v>
      </c>
      <c r="G23" s="21">
        <f>(G11-G12)*10%</f>
        <v>344400</v>
      </c>
      <c r="J23" s="21"/>
    </row>
    <row r="24" spans="6:10" ht="13.5" customHeight="1">
      <c r="F24" s="19"/>
      <c r="G24" s="22"/>
      <c r="J24" s="21"/>
    </row>
    <row r="25" spans="1:7" ht="13.5" customHeight="1">
      <c r="A25" s="13" t="s">
        <v>29</v>
      </c>
      <c r="B25" s="23"/>
      <c r="C25" s="15"/>
      <c r="D25" s="15"/>
      <c r="E25" s="15"/>
      <c r="F25" s="16" t="s">
        <v>16</v>
      </c>
      <c r="G25" s="24">
        <f>(G11-G12)-SUM(G13:G23)</f>
        <v>2944620</v>
      </c>
    </row>
    <row r="26" spans="1:7" ht="13.5" customHeight="1">
      <c r="A26" s="1" t="s">
        <v>30</v>
      </c>
      <c r="B26" s="1" t="s">
        <v>18</v>
      </c>
      <c r="G26" s="21">
        <f>ROUND(IF(ISERROR(FIND("PARKING",F8,1)),IF(G25&gt;3199200,G25*12%,0),G25*12%),2)</f>
        <v>0</v>
      </c>
    </row>
    <row r="27" spans="1:7" ht="13.5" customHeight="1" hidden="1">
      <c r="A27" s="10">
        <v>6</v>
      </c>
      <c r="B27" s="1" t="s">
        <v>31</v>
      </c>
      <c r="G27" s="21">
        <f>ROUND(G25*(A27/100),2)</f>
        <v>176677.2</v>
      </c>
    </row>
    <row r="28" spans="1:7" ht="13.5" customHeight="1" hidden="1">
      <c r="A28" s="10"/>
      <c r="B28" s="1" t="s">
        <v>32</v>
      </c>
      <c r="F28" s="10">
        <f>IF(G28&gt;50000,50000,G28)</f>
        <v>0</v>
      </c>
      <c r="G28" s="21">
        <v>0</v>
      </c>
    </row>
    <row r="29" spans="1:7" ht="13.5" customHeight="1" hidden="1">
      <c r="A29" s="10"/>
      <c r="B29" s="1" t="s">
        <v>33</v>
      </c>
      <c r="G29" s="21">
        <v>0</v>
      </c>
    </row>
    <row r="30" spans="1:7" ht="13.5" customHeight="1" thickBot="1">
      <c r="A30" s="10"/>
      <c r="B30" s="1" t="s">
        <v>31</v>
      </c>
      <c r="G30" s="21">
        <f>ROUND(SUM(G27,G29,F28),2)</f>
        <v>176677.2</v>
      </c>
    </row>
    <row r="31" spans="1:7" ht="13.5" customHeight="1">
      <c r="A31" s="13" t="s">
        <v>34</v>
      </c>
      <c r="B31" s="15"/>
      <c r="C31" s="15"/>
      <c r="D31" s="15"/>
      <c r="E31" s="15"/>
      <c r="F31" s="16" t="s">
        <v>16</v>
      </c>
      <c r="G31" s="24">
        <f>G25+SUM(G26,G30)</f>
        <v>3121297.2</v>
      </c>
    </row>
    <row r="32" spans="1:7" ht="13.5" customHeight="1">
      <c r="A32" s="1" t="s">
        <v>17</v>
      </c>
      <c r="B32" s="1" t="s">
        <v>35</v>
      </c>
      <c r="E32" s="25">
        <f ca="1">NOW()</f>
        <v>43834.661247916665</v>
      </c>
      <c r="G32" s="21">
        <v>20000</v>
      </c>
    </row>
    <row r="33" spans="1:7" ht="13.5" customHeight="1">
      <c r="A33" s="26" t="s">
        <v>36</v>
      </c>
      <c r="B33" s="15"/>
      <c r="C33" s="15"/>
      <c r="D33" s="15"/>
      <c r="E33" s="27">
        <f>ReservationDate+19</f>
        <v>43853.661247916665</v>
      </c>
      <c r="F33" s="16" t="s">
        <v>16</v>
      </c>
      <c r="G33" s="24">
        <f>G31-G32</f>
        <v>3101297.2</v>
      </c>
    </row>
    <row r="34" spans="1:3" ht="13.5">
      <c r="A34" s="10"/>
      <c r="B34" s="10"/>
      <c r="C34" s="28">
        <v>20</v>
      </c>
    </row>
    <row r="35" spans="1:4" ht="13.5">
      <c r="A35" s="29" t="s">
        <v>37</v>
      </c>
      <c r="B35" s="30"/>
      <c r="C35" s="30"/>
      <c r="D35" s="30"/>
    </row>
    <row r="36" spans="1:7" ht="13.5">
      <c r="A36" s="32" t="s">
        <v>38</v>
      </c>
      <c r="B36" s="32"/>
      <c r="C36" s="32"/>
      <c r="D36" s="32"/>
      <c r="E36" s="32"/>
      <c r="F36" s="32"/>
      <c r="G36" s="32"/>
    </row>
    <row r="37" spans="1:4" ht="13.5">
      <c r="A37" s="30" t="s">
        <v>39</v>
      </c>
      <c r="B37" s="30"/>
      <c r="C37" s="30"/>
      <c r="D37" s="30"/>
    </row>
    <row r="38" spans="1:4" ht="13.5">
      <c r="A38" s="30" t="s">
        <v>40</v>
      </c>
      <c r="B38" s="30"/>
      <c r="C38" s="30"/>
      <c r="D38" s="30"/>
    </row>
    <row r="39" spans="1:4" ht="13.5">
      <c r="A39" s="30" t="s">
        <v>41</v>
      </c>
      <c r="B39" s="30"/>
      <c r="C39" s="30"/>
      <c r="D39" s="30"/>
    </row>
    <row r="40" spans="1:4" ht="13.5">
      <c r="A40" s="31" t="s">
        <v>42</v>
      </c>
      <c r="B40" s="30"/>
      <c r="C40" s="30"/>
      <c r="D40" s="30"/>
    </row>
    <row r="41" spans="1:4" ht="13.5">
      <c r="A41" s="31" t="s">
        <v>43</v>
      </c>
      <c r="B41" s="30"/>
      <c r="C41" s="30"/>
      <c r="D41" s="30"/>
    </row>
    <row r="42" spans="1:4" ht="13.5">
      <c r="A42" s="31" t="s">
        <v>44</v>
      </c>
      <c r="B42" s="30"/>
      <c r="C42" s="30"/>
      <c r="D42" s="30"/>
    </row>
    <row r="43" spans="1:4" ht="13.5">
      <c r="A43" s="31" t="s">
        <v>45</v>
      </c>
      <c r="B43" s="30"/>
      <c r="C43" s="30"/>
      <c r="D43" s="30"/>
    </row>
    <row r="44" spans="1:4" ht="13.5">
      <c r="A44" s="31" t="s">
        <v>46</v>
      </c>
      <c r="B44" s="30"/>
      <c r="C44" s="30"/>
      <c r="D44" s="30"/>
    </row>
    <row r="45" spans="1:7" ht="13.5">
      <c r="A45" s="32" t="s">
        <v>47</v>
      </c>
      <c r="B45" s="32"/>
      <c r="C45" s="32"/>
      <c r="D45" s="32"/>
      <c r="E45" s="32"/>
      <c r="F45" s="32"/>
      <c r="G45" s="32"/>
    </row>
  </sheetData>
  <sheetProtection/>
  <mergeCells count="7">
    <mergeCell ref="B2:F2"/>
    <mergeCell ref="F8:G8"/>
    <mergeCell ref="B3:F3"/>
    <mergeCell ref="A4:G4"/>
    <mergeCell ref="F7:G7"/>
    <mergeCell ref="A45:G45"/>
    <mergeCell ref="A36:G36"/>
  </mergeCells>
  <conditionalFormatting sqref="B26">
    <cfRule type="expression" priority="1" dxfId="7" stopIfTrue="1">
      <formula>$G$26=0</formula>
    </cfRule>
  </conditionalFormatting>
  <conditionalFormatting sqref="G12 G26">
    <cfRule type="cellIs" priority="2" dxfId="7" operator="equal" stopIfTrue="1">
      <formula>0</formula>
    </cfRule>
  </conditionalFormatting>
  <conditionalFormatting sqref="B12">
    <cfRule type="expression" priority="3" dxfId="7" stopIfTrue="1">
      <formula>$G$12=0</formula>
    </cfRule>
  </conditionalFormatting>
  <printOptions horizontalCentered="1"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1"/>
  <sheetViews>
    <sheetView tabSelected="1" zoomScalePageLayoutView="0" workbookViewId="0" topLeftCell="A1">
      <selection activeCell="H12" sqref="H12"/>
    </sheetView>
  </sheetViews>
  <sheetFormatPr defaultColWidth="9.00390625" defaultRowHeight="12.75" customHeight="1"/>
  <cols>
    <col min="1" max="1" width="13.25390625" style="44" customWidth="1"/>
    <col min="2" max="2" width="14.875" style="44" customWidth="1"/>
    <col min="3" max="3" width="10.625" style="44" customWidth="1"/>
    <col min="4" max="4" width="12.75390625" style="44" customWidth="1"/>
    <col min="5" max="6" width="14.625" style="44" customWidth="1"/>
    <col min="7" max="7" width="18.00390625" style="44" customWidth="1"/>
    <col min="8" max="9" width="15.00390625" style="44" customWidth="1"/>
    <col min="10" max="10" width="14.125" style="44" customWidth="1"/>
    <col min="11" max="16384" width="9.00390625" style="44" customWidth="1"/>
  </cols>
  <sheetData>
    <row r="1" spans="1:5" ht="18" customHeight="1" thickBot="1">
      <c r="A1" s="42" t="s">
        <v>48</v>
      </c>
      <c r="B1" s="43"/>
      <c r="C1" s="43"/>
      <c r="D1" s="43"/>
      <c r="E1" s="43"/>
    </row>
    <row r="2" spans="1:7" ht="14.25" customHeight="1" thickTop="1">
      <c r="A2" s="46"/>
      <c r="B2" s="47" t="s">
        <v>1</v>
      </c>
      <c r="C2" s="47"/>
      <c r="D2" s="47"/>
      <c r="E2" s="47"/>
      <c r="F2" s="47"/>
      <c r="G2" s="48"/>
    </row>
    <row r="3" spans="1:7" ht="14.25" customHeight="1">
      <c r="A3" s="49"/>
      <c r="B3" s="50" t="s">
        <v>2</v>
      </c>
      <c r="C3" s="50"/>
      <c r="D3" s="50"/>
      <c r="E3" s="50"/>
      <c r="F3" s="50"/>
      <c r="G3" s="51"/>
    </row>
    <row r="4" spans="1:7" ht="30" customHeight="1">
      <c r="A4" s="52" t="s">
        <v>3</v>
      </c>
      <c r="B4" s="53"/>
      <c r="C4" s="53"/>
      <c r="D4" s="53"/>
      <c r="E4" s="53"/>
      <c r="F4" s="53"/>
      <c r="G4" s="54"/>
    </row>
    <row r="5" spans="1:7" ht="15" customHeight="1" thickBot="1">
      <c r="A5" s="55">
        <f>IF(A48&lt;=12,12,A48)</f>
        <v>12</v>
      </c>
      <c r="B5" s="56"/>
      <c r="C5" s="56"/>
      <c r="D5" s="57" t="str">
        <f>IF(A48&gt;G6,"TERM IS SUBJECT FOR APPROVAL","SAMPLE COMPUTATION ONLY")</f>
        <v>SAMPLE COMPUTATION ONLY</v>
      </c>
      <c r="E5" s="56"/>
      <c r="F5" s="56"/>
      <c r="G5" s="58"/>
    </row>
    <row r="6" s="44" customFormat="1" ht="13.5" customHeight="1" thickTop="1">
      <c r="G6" s="59">
        <v>24</v>
      </c>
    </row>
    <row r="7" spans="1:7" ht="13.5">
      <c r="A7" s="60" t="s">
        <v>5</v>
      </c>
      <c r="B7" s="60" t="s">
        <v>6</v>
      </c>
      <c r="C7" s="60" t="s">
        <v>7</v>
      </c>
      <c r="D7" s="60" t="s">
        <v>8</v>
      </c>
      <c r="E7" s="60"/>
      <c r="F7" s="61" t="s">
        <v>9</v>
      </c>
      <c r="G7" s="61"/>
    </row>
    <row r="8" spans="1:7" ht="13.5">
      <c r="A8" s="62" t="s">
        <v>10</v>
      </c>
      <c r="B8" s="62" t="s">
        <v>11</v>
      </c>
      <c r="C8" s="62" t="s">
        <v>12</v>
      </c>
      <c r="D8" s="62" t="s">
        <v>13</v>
      </c>
      <c r="E8" s="62"/>
      <c r="F8" s="63" t="s">
        <v>14</v>
      </c>
      <c r="G8" s="63"/>
    </row>
    <row r="11" spans="1:7" ht="13.5" customHeight="1">
      <c r="A11" s="64" t="s">
        <v>15</v>
      </c>
      <c r="B11" s="64"/>
      <c r="C11" s="65"/>
      <c r="D11" s="66"/>
      <c r="E11" s="66"/>
      <c r="F11" s="67" t="s">
        <v>16</v>
      </c>
      <c r="G11" s="68">
        <v>3857280</v>
      </c>
    </row>
    <row r="12" spans="1:7" ht="13.5" customHeight="1">
      <c r="A12" s="44" t="s">
        <v>17</v>
      </c>
      <c r="B12" s="44" t="s">
        <v>18</v>
      </c>
      <c r="C12" s="69"/>
      <c r="F12" s="70"/>
      <c r="G12" s="71">
        <f>ROUND(IF(ISERROR(FIND("PARKING",Model,1)),IF(SellingPrice&gt;3199200,(G11-(G11/1.12)),0),(G11-(G11/1.12))),2)</f>
        <v>413280</v>
      </c>
    </row>
    <row r="13" spans="1:10" ht="13.5" customHeight="1">
      <c r="A13" s="72">
        <v>10</v>
      </c>
      <c r="B13" s="44" t="str">
        <f>CONCATENATE(A13,"% Discount on ",A40,"% SFDP")</f>
        <v>10% Discount on 10% SFDP</v>
      </c>
      <c r="F13" s="70"/>
      <c r="G13" s="73">
        <f>((G11-G12)-Discount2Value)*(PercentageDiscount/100)*(SpotDownpayment/100)</f>
        <v>30996</v>
      </c>
      <c r="I13" s="73"/>
      <c r="J13" s="73"/>
    </row>
    <row r="14" spans="2:10" ht="13.5" customHeight="1" hidden="1">
      <c r="B14" s="44" t="s">
        <v>19</v>
      </c>
      <c r="G14" s="73">
        <v>0</v>
      </c>
      <c r="I14" s="73"/>
      <c r="J14" s="73"/>
    </row>
    <row r="15" spans="2:10" ht="13.5" customHeight="1" hidden="1">
      <c r="B15" s="44" t="s">
        <v>20</v>
      </c>
      <c r="G15" s="73">
        <v>0</v>
      </c>
      <c r="I15" s="73"/>
      <c r="J15" s="73"/>
    </row>
    <row r="16" spans="2:9" ht="13.5" customHeight="1" hidden="1">
      <c r="B16" s="44" t="s">
        <v>21</v>
      </c>
      <c r="G16" s="73">
        <v>0</v>
      </c>
      <c r="I16" s="73"/>
    </row>
    <row r="17" spans="2:9" ht="13.5" customHeight="1" hidden="1">
      <c r="B17" s="44" t="s">
        <v>22</v>
      </c>
      <c r="G17" s="73">
        <v>0</v>
      </c>
      <c r="I17" s="73"/>
    </row>
    <row r="18" spans="2:9" ht="13.5" customHeight="1" hidden="1">
      <c r="B18" s="44" t="s">
        <v>23</v>
      </c>
      <c r="G18" s="73">
        <v>0</v>
      </c>
      <c r="I18" s="73"/>
    </row>
    <row r="19" spans="2:10" ht="13.5" customHeight="1" hidden="1">
      <c r="B19" s="44" t="s">
        <v>24</v>
      </c>
      <c r="G19" s="73">
        <v>0</v>
      </c>
      <c r="H19" s="73"/>
      <c r="I19" s="73"/>
      <c r="J19" s="73"/>
    </row>
    <row r="20" spans="2:10" ht="13.5" customHeight="1" hidden="1">
      <c r="B20" s="44" t="s">
        <v>25</v>
      </c>
      <c r="G20" s="73">
        <v>0</v>
      </c>
      <c r="J20" s="73"/>
    </row>
    <row r="21" spans="2:10" ht="13.5" customHeight="1" hidden="1">
      <c r="B21" s="44" t="s">
        <v>26</v>
      </c>
      <c r="G21" s="73">
        <v>0</v>
      </c>
      <c r="J21" s="73"/>
    </row>
    <row r="22" spans="2:10" ht="13.5" customHeight="1" hidden="1">
      <c r="B22" s="44" t="s">
        <v>27</v>
      </c>
      <c r="G22" s="73">
        <v>0</v>
      </c>
      <c r="J22" s="73"/>
    </row>
    <row r="23" spans="2:10" ht="13.5" customHeight="1">
      <c r="B23" s="44" t="s">
        <v>28</v>
      </c>
      <c r="G23" s="73">
        <f>(G11-G12)*10%</f>
        <v>344400</v>
      </c>
      <c r="J23" s="73"/>
    </row>
    <row r="24" spans="6:10" ht="13.5" customHeight="1" thickBot="1">
      <c r="F24" s="70"/>
      <c r="G24" s="74"/>
      <c r="J24" s="73"/>
    </row>
    <row r="25" spans="1:7" ht="13.5" customHeight="1" thickTop="1">
      <c r="A25" s="64" t="s">
        <v>49</v>
      </c>
      <c r="B25" s="75"/>
      <c r="C25" s="66"/>
      <c r="D25" s="66"/>
      <c r="E25" s="66"/>
      <c r="F25" s="67" t="s">
        <v>16</v>
      </c>
      <c r="G25" s="76">
        <f>(SellingPrice-G12)-SUM(G13:G23)</f>
        <v>3068604</v>
      </c>
    </row>
    <row r="26" spans="1:9" ht="13.5" customHeight="1">
      <c r="A26" s="44" t="s">
        <v>30</v>
      </c>
      <c r="B26" s="44" t="s">
        <v>18</v>
      </c>
      <c r="G26" s="73">
        <f>ROUND(IF(ISERROR(FIND("PARKING",Model,1)),IF(G25&gt;3199200,G25*12%,0),G25*12%),2)</f>
        <v>0</v>
      </c>
      <c r="I26" s="73"/>
    </row>
    <row r="27" spans="1:7" ht="13.5" customHeight="1" hidden="1">
      <c r="A27" s="72">
        <v>7</v>
      </c>
      <c r="B27" s="44" t="s">
        <v>31</v>
      </c>
      <c r="G27" s="73">
        <f>ROUND(G25*(A27/100),2)</f>
        <v>214802.28</v>
      </c>
    </row>
    <row r="28" spans="1:7" ht="13.5" customHeight="1" hidden="1">
      <c r="A28" s="72"/>
      <c r="B28" s="44" t="s">
        <v>32</v>
      </c>
      <c r="F28" s="72">
        <f>IF(G28&gt;50000,50000,G28)</f>
        <v>0</v>
      </c>
      <c r="G28" s="73">
        <v>0</v>
      </c>
    </row>
    <row r="29" spans="1:7" ht="13.5" customHeight="1" hidden="1">
      <c r="A29" s="72"/>
      <c r="B29" s="44" t="s">
        <v>33</v>
      </c>
      <c r="G29" s="73">
        <v>0</v>
      </c>
    </row>
    <row r="30" spans="1:7" ht="13.5" customHeight="1" thickBot="1">
      <c r="A30" s="72"/>
      <c r="B30" s="44" t="s">
        <v>31</v>
      </c>
      <c r="G30" s="73">
        <f>ROUND(SUM(G27,G29,F28),2)</f>
        <v>214802.28</v>
      </c>
    </row>
    <row r="31" spans="1:7" ht="13.5" customHeight="1" thickTop="1">
      <c r="A31" s="64" t="s">
        <v>34</v>
      </c>
      <c r="B31" s="66"/>
      <c r="C31" s="66"/>
      <c r="D31" s="66"/>
      <c r="E31" s="66"/>
      <c r="F31" s="67" t="s">
        <v>16</v>
      </c>
      <c r="G31" s="76">
        <f>G25+SUM(G26,G30)</f>
        <v>3283406.28</v>
      </c>
    </row>
    <row r="32" ht="13.5" customHeight="1"/>
    <row r="33" ht="13.5" customHeight="1">
      <c r="A33" s="77" t="s">
        <v>50</v>
      </c>
    </row>
    <row r="34" spans="1:7" ht="13.5" customHeight="1">
      <c r="A34" s="78">
        <v>20</v>
      </c>
      <c r="B34" s="44" t="str">
        <f>CONCATENATE("Downpayment ("&amp;A34&amp;"% of Selling Price)")</f>
        <v>Downpayment (20% of Selling Price)</v>
      </c>
      <c r="G34" s="73">
        <f>ROUND((G25+G26)*(A34/100),2)</f>
        <v>613720.8</v>
      </c>
    </row>
    <row r="35" spans="1:7" ht="13.5" customHeight="1" thickBot="1">
      <c r="A35" s="77"/>
      <c r="B35" s="44" t="s">
        <v>51</v>
      </c>
      <c r="G35" s="73">
        <f>ROUND(G30*(A34/100),2)</f>
        <v>42960.46</v>
      </c>
    </row>
    <row r="36" spans="1:7" ht="13.5" customHeight="1" thickTop="1">
      <c r="A36" s="64" t="s">
        <v>52</v>
      </c>
      <c r="B36" s="66"/>
      <c r="C36" s="66"/>
      <c r="D36" s="66"/>
      <c r="E36" s="66"/>
      <c r="F36" s="67" t="s">
        <v>16</v>
      </c>
      <c r="G36" s="76">
        <f>SUM(G34:G35)</f>
        <v>656681.26</v>
      </c>
    </row>
    <row r="37" spans="1:7" ht="13.5" customHeight="1" thickBot="1">
      <c r="A37" s="44" t="s">
        <v>17</v>
      </c>
      <c r="B37" s="44" t="s">
        <v>35</v>
      </c>
      <c r="F37" s="79">
        <f ca="1">NOW()</f>
        <v>43834.661247916665</v>
      </c>
      <c r="G37" s="73">
        <v>20000</v>
      </c>
    </row>
    <row r="38" spans="1:7" ht="13.5" customHeight="1" thickTop="1">
      <c r="A38" s="64" t="s">
        <v>53</v>
      </c>
      <c r="B38" s="66"/>
      <c r="C38" s="66"/>
      <c r="D38" s="66"/>
      <c r="E38" s="80"/>
      <c r="F38" s="67" t="s">
        <v>16</v>
      </c>
      <c r="G38" s="76">
        <f>G36-G37</f>
        <v>636681.26</v>
      </c>
    </row>
    <row r="39" ht="13.5" customHeight="1"/>
    <row r="40" spans="1:10" ht="13.5" customHeight="1">
      <c r="A40" s="72">
        <v>10</v>
      </c>
      <c r="B40" s="44" t="str">
        <f>CONCATENATE("Spot Downpayment ("&amp;A40&amp;"% of Selling Price)")</f>
        <v>Spot Downpayment (10% of Selling Price)</v>
      </c>
      <c r="E40" s="81"/>
      <c r="F40" s="79"/>
      <c r="G40" s="73">
        <f>ROUND((SUM(G25:G26)*(A40/100))-G37,2)</f>
        <v>286860.4</v>
      </c>
      <c r="H40" s="73"/>
      <c r="I40" s="73"/>
      <c r="J40" s="82"/>
    </row>
    <row r="41" spans="2:10" ht="13.5" customHeight="1" thickBot="1">
      <c r="B41" s="44" t="s">
        <v>31</v>
      </c>
      <c r="E41" s="81"/>
      <c r="F41" s="79"/>
      <c r="G41" s="73">
        <f>ROUND(G30*(A40/100),2)</f>
        <v>21480.23</v>
      </c>
      <c r="J41" s="73"/>
    </row>
    <row r="42" spans="2:7" ht="13.5" customHeight="1" thickTop="1">
      <c r="B42" s="83" t="s">
        <v>54</v>
      </c>
      <c r="E42" s="81"/>
      <c r="F42" s="79">
        <f>ReservationDate+19</f>
        <v>43853.661247916665</v>
      </c>
      <c r="G42" s="84">
        <f>SUM(G40:G41)</f>
        <v>308340.63</v>
      </c>
    </row>
    <row r="43" spans="2:7" ht="13.5" customHeight="1">
      <c r="B43" s="85"/>
      <c r="E43" s="81"/>
      <c r="F43" s="79"/>
      <c r="G43" s="86"/>
    </row>
    <row r="44" spans="1:7" ht="13.5" customHeight="1">
      <c r="A44" s="72">
        <f>A34-A40</f>
        <v>10</v>
      </c>
      <c r="B44" s="87" t="str">
        <f>CONCATENATE("Streched Downpayment ("&amp;A44&amp;"% of Selling Price)")</f>
        <v>Streched Downpayment (10% of Selling Price)</v>
      </c>
      <c r="E44" s="81"/>
      <c r="F44" s="79"/>
      <c r="G44" s="73">
        <f>G34-G40-ReservationFee</f>
        <v>306860.4</v>
      </c>
    </row>
    <row r="45" spans="2:7" ht="13.5" customHeight="1" thickBot="1">
      <c r="B45" s="87" t="s">
        <v>31</v>
      </c>
      <c r="E45" s="81"/>
      <c r="F45" s="79"/>
      <c r="G45" s="73">
        <f>SUM(G35:G35)-G41</f>
        <v>21480.23</v>
      </c>
    </row>
    <row r="46" spans="2:7" ht="13.5" customHeight="1" thickTop="1">
      <c r="B46" s="83" t="str">
        <f>CONCATENATE("Total Streched DP and Other Charges payable in "&amp;A48&amp;" months")</f>
        <v>Total Streched DP and Other Charges payable in 6 months</v>
      </c>
      <c r="E46" s="81"/>
      <c r="F46" s="79"/>
      <c r="G46" s="84">
        <f>SUM(G44:G45)</f>
        <v>328340.63</v>
      </c>
    </row>
    <row r="47" spans="2:7" ht="13.5" customHeight="1">
      <c r="B47" s="87"/>
      <c r="E47" s="81"/>
      <c r="F47" s="79"/>
      <c r="G47" s="86"/>
    </row>
    <row r="48" spans="1:7" ht="27.75" customHeight="1">
      <c r="A48" s="88">
        <v>6</v>
      </c>
      <c r="B48" s="89" t="s">
        <v>55</v>
      </c>
      <c r="C48" s="89"/>
      <c r="D48" s="90" t="s">
        <v>56</v>
      </c>
      <c r="E48" s="91" t="s">
        <v>57</v>
      </c>
      <c r="F48" s="92" t="s">
        <v>31</v>
      </c>
      <c r="G48" s="93" t="s">
        <v>58</v>
      </c>
    </row>
    <row r="49" spans="1:7" ht="13.5" customHeight="1">
      <c r="A49" s="94" t="s">
        <v>59</v>
      </c>
      <c r="B49" s="94"/>
      <c r="C49" s="94"/>
      <c r="D49" s="95">
        <f>IF(AND(DAY(F42)&gt;2,DAY(F42)&lt;19),DATE(YEAR(F42+30),MONTH(F42+30),DAY(17)),DATE(YEAR(F42+30),IF(DAY(F42)&gt;18,MONTH(F42+30)+1,MONTH(F42+30)),DAY(2)))</f>
        <v>43892</v>
      </c>
      <c r="E49" s="71">
        <f>ROUND(G44/A48,2)</f>
        <v>51143.4</v>
      </c>
      <c r="F49" s="96">
        <f>ROUND(G45/A48,2)</f>
        <v>3580.04</v>
      </c>
      <c r="G49" s="73">
        <f>SUM(E49:F49)</f>
        <v>54723.44</v>
      </c>
    </row>
    <row r="50" spans="1:7" ht="13.5" customHeight="1">
      <c r="A50" s="94" t="s">
        <v>60</v>
      </c>
      <c r="B50" s="94"/>
      <c r="C50" s="94"/>
      <c r="D50" s="95">
        <f>IF($A$48&lt;VALUE(LEFT(A50,1))," ",DATE(YEAR(D49+30),MONTH(D49+30),DAY(D49)))</f>
        <v>43923</v>
      </c>
      <c r="E50" s="71">
        <f>IF($A$48&lt;VALUE(LEFT(A50,1))," ",IF($A$48=VALUE(LEFT(A50,1)),$G$44-($E$49*($A$48-1)),E49))</f>
        <v>51143.4</v>
      </c>
      <c r="F50" s="96">
        <f>IF($A$48&lt;VALUE(LEFT(A50,1))," ",IF($A$48=VALUE(LEFT(A50,1)),$G$45-($F$49*($A$48-1)),F49))</f>
        <v>3580.04</v>
      </c>
      <c r="G50" s="73">
        <f>IF($A$48&lt;VALUE(LEFT(A50,1))," ",SUM(E50:F50))</f>
        <v>54723.44</v>
      </c>
    </row>
    <row r="51" spans="1:7" ht="13.5" customHeight="1">
      <c r="A51" s="94" t="s">
        <v>61</v>
      </c>
      <c r="B51" s="94"/>
      <c r="C51" s="94"/>
      <c r="D51" s="95">
        <f>IF($A$48&lt;VALUE(LEFT(A51,1))," ",DATE(YEAR(D50+30),MONTH(D50+30),DAY(D50)))</f>
        <v>43953</v>
      </c>
      <c r="E51" s="71">
        <f>IF($A$48&lt;VALUE(LEFT(A51,1))," ",IF($A$48=VALUE(LEFT(A51,1)),$G$44-($E$49*($A$48-1)),E50))</f>
        <v>51143.4</v>
      </c>
      <c r="F51" s="96">
        <f>IF($A$48&lt;VALUE(LEFT(A51,1))," ",IF($A$48=VALUE(LEFT(A51,1)),$G$45-($F$49*($A$48-1)),F50))</f>
        <v>3580.04</v>
      </c>
      <c r="G51" s="73">
        <f>IF($A$48&lt;VALUE(LEFT(A51,1))," ",SUM(E51:F51))</f>
        <v>54723.44</v>
      </c>
    </row>
    <row r="52" spans="1:7" ht="13.5" customHeight="1">
      <c r="A52" s="94" t="s">
        <v>62</v>
      </c>
      <c r="B52" s="94"/>
      <c r="C52" s="94"/>
      <c r="D52" s="95">
        <f>IF($A$48&lt;VALUE(LEFT(A52,1))," ",DATE(YEAR(D51+30),MONTH(D51+30),DAY(D51)))</f>
        <v>43984</v>
      </c>
      <c r="E52" s="71">
        <f>IF($A$48&lt;VALUE(LEFT(A52,1))," ",IF($A$48=VALUE(LEFT(A52,1)),$G$44-($E$49*($A$48-1)),E51))</f>
        <v>51143.4</v>
      </c>
      <c r="F52" s="96">
        <f>IF($A$48&lt;VALUE(LEFT(A52,1))," ",IF($A$48=VALUE(LEFT(A52,1)),$G$45-($F$49*($A$48-1)),F51))</f>
        <v>3580.04</v>
      </c>
      <c r="G52" s="73">
        <f>IF($A$48&lt;VALUE(LEFT(A52,1))," ",SUM(E52:F52))</f>
        <v>54723.44</v>
      </c>
    </row>
    <row r="53" spans="1:7" ht="13.5" customHeight="1">
      <c r="A53" s="94" t="s">
        <v>63</v>
      </c>
      <c r="B53" s="94"/>
      <c r="C53" s="94"/>
      <c r="D53" s="95">
        <f>IF($A$48&lt;VALUE(LEFT(A53,1))," ",DATE(YEAR(D52+30),MONTH(D52+30),DAY(D52)))</f>
        <v>44014</v>
      </c>
      <c r="E53" s="71">
        <f>IF($A$48&lt;VALUE(LEFT(A53,1))," ",IF($A$48=VALUE(LEFT(A53,1)),$G$44-($E$49*($A$48-1)),E52))</f>
        <v>51143.4</v>
      </c>
      <c r="F53" s="96">
        <f>IF($A$48&lt;VALUE(LEFT(A53,1))," ",IF($A$48=VALUE(LEFT(A53,1)),$G$45-($F$49*($A$48-1)),F52))</f>
        <v>3580.04</v>
      </c>
      <c r="G53" s="73">
        <f>IF($A$48&lt;VALUE(LEFT(A53,1))," ",SUM(E53:F53))</f>
        <v>54723.44</v>
      </c>
    </row>
    <row r="54" spans="1:7" ht="13.5" customHeight="1">
      <c r="A54" s="94" t="s">
        <v>64</v>
      </c>
      <c r="B54" s="94"/>
      <c r="C54" s="94"/>
      <c r="D54" s="95">
        <f>IF($A$48&lt;VALUE(LEFT(A54,1))," ",DATE(YEAR(D53+30),MONTH(D53+30),DAY(D53)))</f>
        <v>44045</v>
      </c>
      <c r="E54" s="71">
        <f>IF($A$48&lt;VALUE(LEFT(A54,1))," ",IF($A$48=VALUE(LEFT(A54,1)),$G$44-($E$49*($A$48-1)),E53))</f>
        <v>51143.40000000002</v>
      </c>
      <c r="F54" s="96">
        <f>IF($A$48&lt;VALUE(LEFT(A54,1))," ",IF($A$48=VALUE(LEFT(A54,1)),$G$45-($F$49*($A$48-1)),F53))</f>
        <v>3580.029999999999</v>
      </c>
      <c r="G54" s="73">
        <f>IF($A$48&lt;VALUE(LEFT(A54,1))," ",SUM(E54:F54))</f>
        <v>54723.43000000002</v>
      </c>
    </row>
    <row r="55" spans="2:7" ht="13.5" customHeight="1">
      <c r="B55" s="85"/>
      <c r="E55" s="81"/>
      <c r="F55" s="79"/>
      <c r="G55" s="86"/>
    </row>
    <row r="56" ht="13.5" customHeight="1">
      <c r="A56" s="77" t="s">
        <v>65</v>
      </c>
    </row>
    <row r="57" spans="2:6" ht="13.5" customHeight="1">
      <c r="B57" s="44" t="s">
        <v>66</v>
      </c>
      <c r="F57" s="97">
        <f>D49</f>
        <v>43892</v>
      </c>
    </row>
    <row r="58" spans="2:9" ht="13.5" customHeight="1">
      <c r="B58" s="44" t="s">
        <v>67</v>
      </c>
      <c r="F58" s="97">
        <f>DATE(YEAR(MAX(D49:D54)+30),MONTH(MAX(D49:D54)+30),DAY(F57))</f>
        <v>44076</v>
      </c>
      <c r="G58" s="98">
        <f>ROUND(((G25+G26)*((100-A34)/100))+(G30*(100-A34)/100),2)</f>
        <v>2626725.02</v>
      </c>
      <c r="I58" s="73"/>
    </row>
    <row r="59" ht="13.5" customHeight="1">
      <c r="B59" s="44" t="s">
        <v>68</v>
      </c>
    </row>
    <row r="60" ht="13.5" customHeight="1"/>
    <row r="61" spans="1:4" ht="13.5" customHeight="1">
      <c r="A61" s="83" t="s">
        <v>37</v>
      </c>
      <c r="B61" s="99"/>
      <c r="C61" s="99"/>
      <c r="D61" s="99"/>
    </row>
    <row r="62" spans="1:7" ht="13.5" customHeight="1">
      <c r="A62" s="100" t="s">
        <v>69</v>
      </c>
      <c r="B62" s="100"/>
      <c r="C62" s="100"/>
      <c r="D62" s="100"/>
      <c r="E62" s="100"/>
      <c r="F62" s="100"/>
      <c r="G62" s="100"/>
    </row>
    <row r="63" spans="1:4" ht="13.5" customHeight="1">
      <c r="A63" s="99" t="s">
        <v>39</v>
      </c>
      <c r="B63" s="99"/>
      <c r="C63" s="99"/>
      <c r="D63" s="99"/>
    </row>
    <row r="64" spans="1:4" ht="13.5" customHeight="1">
      <c r="A64" s="99" t="s">
        <v>40</v>
      </c>
      <c r="B64" s="99"/>
      <c r="C64" s="99"/>
      <c r="D64" s="99"/>
    </row>
    <row r="65" spans="1:4" ht="13.5" customHeight="1">
      <c r="A65" s="99" t="s">
        <v>41</v>
      </c>
      <c r="B65" s="99"/>
      <c r="C65" s="99"/>
      <c r="D65" s="99"/>
    </row>
    <row r="66" spans="1:4" ht="13.5" customHeight="1">
      <c r="A66" s="101" t="s">
        <v>42</v>
      </c>
      <c r="B66" s="99"/>
      <c r="C66" s="99"/>
      <c r="D66" s="99"/>
    </row>
    <row r="67" spans="1:4" ht="13.5" customHeight="1">
      <c r="A67" s="101" t="s">
        <v>43</v>
      </c>
      <c r="B67" s="99"/>
      <c r="C67" s="99"/>
      <c r="D67" s="99"/>
    </row>
    <row r="68" spans="1:4" ht="13.5" customHeight="1">
      <c r="A68" s="101" t="s">
        <v>44</v>
      </c>
      <c r="B68" s="99"/>
      <c r="C68" s="99"/>
      <c r="D68" s="99"/>
    </row>
    <row r="69" spans="1:4" ht="13.5" customHeight="1">
      <c r="A69" s="101" t="s">
        <v>45</v>
      </c>
      <c r="B69" s="99"/>
      <c r="C69" s="99"/>
      <c r="D69" s="99"/>
    </row>
    <row r="70" spans="1:4" ht="13.5" customHeight="1">
      <c r="A70" s="101" t="s">
        <v>46</v>
      </c>
      <c r="B70" s="99"/>
      <c r="C70" s="99"/>
      <c r="D70" s="99"/>
    </row>
    <row r="71" spans="1:7" ht="13.5" customHeight="1">
      <c r="A71" s="100" t="s">
        <v>47</v>
      </c>
      <c r="B71" s="100"/>
      <c r="C71" s="100"/>
      <c r="D71" s="100"/>
      <c r="E71" s="100"/>
      <c r="F71" s="100"/>
      <c r="G71" s="100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14">
    <mergeCell ref="A62:G62"/>
    <mergeCell ref="A71:G71"/>
    <mergeCell ref="A49:C49"/>
    <mergeCell ref="A50:C50"/>
    <mergeCell ref="A51:C51"/>
    <mergeCell ref="A52:C52"/>
    <mergeCell ref="A53:C53"/>
    <mergeCell ref="A54:C54"/>
    <mergeCell ref="B2:F2"/>
    <mergeCell ref="B3:F3"/>
    <mergeCell ref="A4:G4"/>
    <mergeCell ref="F7:G7"/>
    <mergeCell ref="F8:G8"/>
    <mergeCell ref="B48:C48"/>
  </mergeCells>
  <conditionalFormatting sqref="B12 B26">
    <cfRule type="expression" priority="1" dxfId="7" stopIfTrue="1">
      <formula>G12=0</formula>
    </cfRule>
  </conditionalFormatting>
  <conditionalFormatting sqref="A50:C54">
    <cfRule type="expression" priority="2" dxfId="7" stopIfTrue="1">
      <formula>VALUE(NoDPSchedule)&lt;VALUE(LEFT(A50,1))</formula>
    </cfRule>
  </conditionalFormatting>
  <conditionalFormatting sqref="G12 G26">
    <cfRule type="expression" priority="3" dxfId="7" stopIfTrue="1">
      <formula>G12=0</formula>
    </cfRule>
  </conditionalFormatting>
  <conditionalFormatting sqref="D5">
    <cfRule type="expression" priority="4" dxfId="8" stopIfTrue="1">
      <formula>G6&lt;=TODAY()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Liezl</cp:lastModifiedBy>
  <cp:lastPrinted>2020-01-04T07:51:04Z</cp:lastPrinted>
  <dcterms:created xsi:type="dcterms:W3CDTF">2020-01-04T07:52:59Z</dcterms:created>
  <dcterms:modified xsi:type="dcterms:W3CDTF">2020-01-04T07:52:59Z</dcterms:modified>
  <cp:category/>
  <cp:version/>
  <cp:contentType/>
  <cp:contentStatus/>
</cp:coreProperties>
</file>